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295" windowHeight="5520" activeTab="0"/>
  </bookViews>
  <sheets>
    <sheet name="N fertiliser calculator" sheetId="1" r:id="rId1"/>
    <sheet name="Calculator" sheetId="2" r:id="rId2"/>
  </sheets>
  <definedNames>
    <definedName name="solver_adj" localSheetId="1" hidden="1">'Calculator'!$AF$16:$AF$17</definedName>
    <definedName name="solver_adj" localSheetId="0" hidden="1">'N fertiliser calculator'!$AF$16:$AF$17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'Calculator'!$AH$14</definedName>
    <definedName name="solver_opt" localSheetId="0" hidden="1">'N fertiliser calculator'!$AH$14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typ" localSheetId="0" hidden="1">3</definedName>
    <definedName name="solver_val" localSheetId="1" hidden="1">1</definedName>
    <definedName name="solver_val" localSheetId="0" hidden="1">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<sst xmlns="http://schemas.openxmlformats.org/spreadsheetml/2006/main" count="49" uniqueCount="45">
  <si>
    <t>Soil Temp</t>
  </si>
  <si>
    <t>Soil Nitrate</t>
  </si>
  <si>
    <t>Sap Nitrate</t>
  </si>
  <si>
    <t>NRR</t>
  </si>
  <si>
    <t>N rate</t>
  </si>
  <si>
    <t>Price per tonne Urea</t>
  </si>
  <si>
    <t>Cost per kg DM (cents)</t>
  </si>
  <si>
    <t>Correction for N rate</t>
  </si>
  <si>
    <t>Correction for Soil Moisture</t>
  </si>
  <si>
    <t>Correction for soil Temp</t>
  </si>
  <si>
    <t>Soil Moisture</t>
  </si>
  <si>
    <t>a</t>
  </si>
  <si>
    <t>b</t>
  </si>
  <si>
    <t>Pn</t>
  </si>
  <si>
    <t>Py</t>
  </si>
  <si>
    <t>Cost per t DM Feed</t>
  </si>
  <si>
    <t>Pn/Py</t>
  </si>
  <si>
    <t>Yield optimium</t>
  </si>
  <si>
    <t>c kg</t>
  </si>
  <si>
    <t>Soil Inorganic N</t>
  </si>
  <si>
    <t xml:space="preserve">Enter Soil Inorganic N </t>
  </si>
  <si>
    <t>Enter N application rate</t>
  </si>
  <si>
    <t>Vlookup part</t>
  </si>
  <si>
    <t>Without Correction Entra growth</t>
  </si>
  <si>
    <t>N Response rate without Corrections</t>
  </si>
  <si>
    <t>N response rate with Corrections</t>
  </si>
  <si>
    <t>Extra growth WithCorrections</t>
  </si>
  <si>
    <t>Solve extra growht using a and b</t>
  </si>
  <si>
    <t>C</t>
  </si>
  <si>
    <t>SS</t>
  </si>
  <si>
    <t>SSError</t>
  </si>
  <si>
    <t>R2</t>
  </si>
  <si>
    <t>Sovler Soultions</t>
  </si>
  <si>
    <t>Extra grass at econmic resonse rate</t>
  </si>
  <si>
    <t>NRR at econmic app rate</t>
  </si>
  <si>
    <t>Calculates econmic app rate</t>
  </si>
  <si>
    <t xml:space="preserve">Relationship </t>
  </si>
  <si>
    <t>Estimated econmical fertiliser application rate (kg N/ha)</t>
  </si>
  <si>
    <t>Enter Forage price ($ per tonne DM)</t>
  </si>
  <si>
    <t>Enter Urea Price ($ per tonne)</t>
  </si>
  <si>
    <t>Enter Soil Temperature (Degree C)</t>
  </si>
  <si>
    <t>Estimated Response rate (kg DM/Kg N applied)</t>
  </si>
  <si>
    <t>Estiamted cost per kg DM ($/kg DM)</t>
  </si>
  <si>
    <t>Enter Total Inorganic Nitrogen at depth of 0 to 30cm (kg N/ha)</t>
  </si>
  <si>
    <t>Enter Soil Moisture Where 100 is FC and 0 is PWP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</si>
</sst>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$&quot;#,##0.0"/>
    <numFmt numFmtId="166" formatCode="#,##0.0"/>
    <numFmt numFmtId="167" formatCode="&quot;$&quot;#,##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9"/>
      <name val="Calibri"/>
      <family val="2"/>
    </font>
    <font>
      <b/>
      <sz val="24"/>
      <color indexed="9"/>
      <name val="Calibri"/>
      <family val="2"/>
    </font>
    <font>
      <b/>
      <sz val="16"/>
      <color indexed="9"/>
      <name val="Calibri"/>
      <family val="2"/>
    </font>
    <font>
      <sz val="32"/>
      <color indexed="56"/>
      <name val="Cambria"/>
      <family val="1"/>
    </font>
    <font>
      <sz val="18"/>
      <color indexed="56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0"/>
      <name val="Calibri"/>
      <family val="2"/>
    </font>
    <font>
      <b/>
      <sz val="24"/>
      <color theme="0"/>
      <name val="Calibri"/>
      <family val="2"/>
    </font>
    <font>
      <b/>
      <sz val="16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26" fillId="33" borderId="0" xfId="0" applyFont="1" applyFill="1" applyBorder="1" applyAlignment="1">
      <alignment/>
    </xf>
    <xf numFmtId="0" fontId="42" fillId="33" borderId="0" xfId="0" applyFont="1" applyFill="1" applyBorder="1" applyAlignment="1">
      <alignment horizontal="left" vertical="center"/>
    </xf>
    <xf numFmtId="0" fontId="42" fillId="33" borderId="0" xfId="0" applyFont="1" applyFill="1" applyBorder="1" applyAlignment="1">
      <alignment horizontal="center" vertical="center"/>
    </xf>
    <xf numFmtId="1" fontId="26" fillId="33" borderId="0" xfId="0" applyNumberFormat="1" applyFont="1" applyFill="1" applyBorder="1" applyAlignment="1">
      <alignment/>
    </xf>
    <xf numFmtId="0" fontId="42" fillId="33" borderId="0" xfId="0" applyFont="1" applyFill="1" applyBorder="1" applyAlignment="1">
      <alignment horizontal="left" vertical="center" wrapText="1"/>
    </xf>
    <xf numFmtId="1" fontId="42" fillId="33" borderId="0" xfId="0" applyNumberFormat="1" applyFont="1" applyFill="1" applyBorder="1" applyAlignment="1">
      <alignment horizontal="center" vertical="center"/>
    </xf>
    <xf numFmtId="167" fontId="42" fillId="33" borderId="0" xfId="0" applyNumberFormat="1" applyFont="1" applyFill="1" applyBorder="1" applyAlignment="1">
      <alignment horizontal="center" vertical="center"/>
    </xf>
    <xf numFmtId="167" fontId="42" fillId="33" borderId="0" xfId="44" applyNumberFormat="1" applyFont="1" applyFill="1" applyBorder="1" applyAlignment="1">
      <alignment horizontal="center" vertical="center"/>
    </xf>
    <xf numFmtId="49" fontId="42" fillId="33" borderId="0" xfId="0" applyNumberFormat="1" applyFont="1" applyFill="1" applyBorder="1" applyAlignment="1">
      <alignment horizontal="left" vertical="center" wrapText="1"/>
    </xf>
    <xf numFmtId="166" fontId="43" fillId="33" borderId="0" xfId="0" applyNumberFormat="1" applyFont="1" applyFill="1" applyBorder="1" applyAlignment="1">
      <alignment horizontal="center" vertical="center"/>
    </xf>
    <xf numFmtId="166" fontId="44" fillId="33" borderId="0" xfId="0" applyNumberFormat="1" applyFont="1" applyFill="1" applyBorder="1" applyAlignment="1">
      <alignment horizontal="center" vertical="center"/>
    </xf>
    <xf numFmtId="164" fontId="44" fillId="33" borderId="0" xfId="44" applyNumberFormat="1" applyFont="1" applyFill="1" applyBorder="1" applyAlignment="1">
      <alignment horizontal="center" vertical="center"/>
    </xf>
    <xf numFmtId="164" fontId="26" fillId="33" borderId="0" xfId="0" applyNumberFormat="1" applyFont="1" applyFill="1" applyBorder="1" applyAlignment="1">
      <alignment/>
    </xf>
    <xf numFmtId="165" fontId="26" fillId="33" borderId="0" xfId="0" applyNumberFormat="1" applyFont="1" applyFill="1" applyBorder="1" applyAlignment="1">
      <alignment/>
    </xf>
    <xf numFmtId="166" fontId="26" fillId="33" borderId="0" xfId="0" applyNumberFormat="1" applyFont="1" applyFill="1" applyBorder="1" applyAlignment="1">
      <alignment/>
    </xf>
    <xf numFmtId="0" fontId="0" fillId="34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15"/>
          <c:y val="-0.005"/>
          <c:w val="0.86375"/>
          <c:h val="0.92525"/>
        </c:manualLayout>
      </c:layout>
      <c:barChart>
        <c:barDir val="col"/>
        <c:grouping val="cluster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poly"/>
            <c:order val="2"/>
            <c:dispEq val="0"/>
            <c:dispRSqr val="0"/>
          </c:trendline>
          <c:cat>
            <c:numRef>
              <c:f>Calculator!$Z$3:$Z$12</c:f>
              <c:numCache/>
            </c:numRef>
          </c:cat>
          <c:val>
            <c:numRef>
              <c:f>Calculator!$AE$3:$AE$12</c:f>
              <c:numCache/>
            </c:numRef>
          </c:val>
        </c:ser>
        <c:axId val="16439422"/>
        <c:axId val="13737071"/>
      </c:barChart>
      <c:catAx>
        <c:axId val="16439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Nitrogen application rate (kg N/ha.day)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737071"/>
        <c:crosses val="autoZero"/>
        <c:auto val="1"/>
        <c:lblOffset val="100"/>
        <c:tickLblSkip val="1"/>
        <c:noMultiLvlLbl val="0"/>
      </c:catAx>
      <c:valAx>
        <c:axId val="137370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Estimated additional pasture growth  due to N application (kg DM/ha)</a:t>
                </a:r>
              </a:p>
            </c:rich>
          </c:tx>
          <c:layout>
            <c:manualLayout>
              <c:xMode val="factor"/>
              <c:yMode val="factor"/>
              <c:x val="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4394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DDD9C3"/>
    </a:solid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257175</xdr:colOff>
      <xdr:row>18</xdr:row>
      <xdr:rowOff>47625</xdr:rowOff>
    </xdr:from>
    <xdr:to>
      <xdr:col>10</xdr:col>
      <xdr:colOff>257175</xdr:colOff>
      <xdr:row>29</xdr:row>
      <xdr:rowOff>38100</xdr:rowOff>
    </xdr:to>
    <xdr:pic>
      <xdr:nvPicPr>
        <xdr:cNvPr id="1" name="Picture 10" descr="CF 36A (2) Feb 05.jpg"/>
        <xdr:cNvPicPr preferRelativeResize="1">
          <a:picLocks noChangeAspect="1"/>
        </xdr:cNvPicPr>
      </xdr:nvPicPr>
      <xdr:blipFill>
        <a:blip r:embed="rId1"/>
        <a:srcRect l="15516" t="14254" r="18659" b="25595"/>
        <a:stretch>
          <a:fillRect/>
        </a:stretch>
      </xdr:blipFill>
      <xdr:spPr>
        <a:xfrm>
          <a:off x="3305175" y="3476625"/>
          <a:ext cx="304800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409575</xdr:colOff>
      <xdr:row>1</xdr:row>
      <xdr:rowOff>28575</xdr:rowOff>
    </xdr:from>
    <xdr:to>
      <xdr:col>15</xdr:col>
      <xdr:colOff>190500</xdr:colOff>
      <xdr:row>5</xdr:row>
      <xdr:rowOff>123825</xdr:rowOff>
    </xdr:to>
    <xdr:pic>
      <xdr:nvPicPr>
        <xdr:cNvPr id="2" name="Picture 10" descr="TasDairy-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24775" y="219075"/>
          <a:ext cx="16097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</xdr:row>
      <xdr:rowOff>152400</xdr:rowOff>
    </xdr:from>
    <xdr:to>
      <xdr:col>12</xdr:col>
      <xdr:colOff>514350</xdr:colOff>
      <xdr:row>7</xdr:row>
      <xdr:rowOff>123825</xdr:rowOff>
    </xdr:to>
    <xdr:sp>
      <xdr:nvSpPr>
        <xdr:cNvPr id="3" name="TextBox 2"/>
        <xdr:cNvSpPr txBox="1">
          <a:spLocks noChangeArrowheads="1"/>
        </xdr:cNvSpPr>
      </xdr:nvSpPr>
      <xdr:spPr>
        <a:xfrm>
          <a:off x="2133600" y="342900"/>
          <a:ext cx="569595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0" i="0" u="none" baseline="0">
              <a:solidFill>
                <a:srgbClr val="003366"/>
              </a:solidFill>
              <a:latin typeface="Cambria"/>
              <a:ea typeface="Cambria"/>
              <a:cs typeface="Cambria"/>
            </a:rPr>
            <a:t>Predictive</a:t>
          </a:r>
          <a:r>
            <a:rPr lang="en-US" cap="none" sz="3200" b="0" i="0" u="none" baseline="0">
              <a:solidFill>
                <a:srgbClr val="003366"/>
              </a:solidFill>
              <a:latin typeface="Cambria"/>
              <a:ea typeface="Cambria"/>
              <a:cs typeface="Cambria"/>
            </a:rPr>
            <a:t> N fertiliser 
</a:t>
          </a:r>
          <a:r>
            <a:rPr lang="en-US" cap="none" sz="3200" b="0" i="0" u="none" baseline="0">
              <a:solidFill>
                <a:srgbClr val="003366"/>
              </a:solidFill>
              <a:latin typeface="Cambria"/>
              <a:ea typeface="Cambria"/>
              <a:cs typeface="Cambria"/>
            </a:rPr>
            <a:t>response rate calculator</a:t>
          </a:r>
        </a:p>
      </xdr:txBody>
    </xdr:sp>
    <xdr:clientData/>
  </xdr:twoCellAnchor>
  <xdr:twoCellAnchor editAs="oneCell">
    <xdr:from>
      <xdr:col>15</xdr:col>
      <xdr:colOff>409575</xdr:colOff>
      <xdr:row>1</xdr:row>
      <xdr:rowOff>28575</xdr:rowOff>
    </xdr:from>
    <xdr:to>
      <xdr:col>18</xdr:col>
      <xdr:colOff>266700</xdr:colOff>
      <xdr:row>5</xdr:row>
      <xdr:rowOff>133350</xdr:rowOff>
    </xdr:to>
    <xdr:pic>
      <xdr:nvPicPr>
        <xdr:cNvPr id="4" name="Picture 9" descr="dairyAustralia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53575" y="219075"/>
          <a:ext cx="1685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1</xdr:row>
      <xdr:rowOff>0</xdr:rowOff>
    </xdr:from>
    <xdr:to>
      <xdr:col>3</xdr:col>
      <xdr:colOff>200025</xdr:colOff>
      <xdr:row>5</xdr:row>
      <xdr:rowOff>0</xdr:rowOff>
    </xdr:to>
    <xdr:pic>
      <xdr:nvPicPr>
        <xdr:cNvPr id="5" name="Picture 11" descr="TIAR New logo_horz_c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" y="190500"/>
          <a:ext cx="16764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285750</xdr:colOff>
      <xdr:row>8</xdr:row>
      <xdr:rowOff>104775</xdr:rowOff>
    </xdr:from>
    <xdr:to>
      <xdr:col>13</xdr:col>
      <xdr:colOff>561975</xdr:colOff>
      <xdr:row>16</xdr:row>
      <xdr:rowOff>47625</xdr:rowOff>
    </xdr:to>
    <xdr:sp>
      <xdr:nvSpPr>
        <xdr:cNvPr id="6" name="TextBox 5"/>
        <xdr:cNvSpPr txBox="1">
          <a:spLocks noChangeArrowheads="1"/>
        </xdr:cNvSpPr>
      </xdr:nvSpPr>
      <xdr:spPr>
        <a:xfrm>
          <a:off x="1504950" y="1628775"/>
          <a:ext cx="6981825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Predict</a:t>
          </a:r>
          <a:r>
            <a:rPr lang="en-US" cap="none" sz="18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your N fertiliser response rate based on your soil temperature, 
</a:t>
          </a:r>
          <a:r>
            <a:rPr lang="en-US" cap="none" sz="18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soil moisture content and N fertiliser application rate.  
</a:t>
          </a:r>
          <a:r>
            <a:rPr lang="en-US" cap="none" sz="18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To activate this calculator, the macro setting needs to be enabled.  
</a:t>
          </a:r>
          <a:r>
            <a:rPr lang="en-US" cap="none" sz="18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Consult MS Excel help if unsure how to do this .</a:t>
          </a:r>
        </a:p>
      </xdr:txBody>
    </xdr:sp>
    <xdr:clientData/>
  </xdr:twoCellAnchor>
  <xdr:twoCellAnchor editAs="oneCell">
    <xdr:from>
      <xdr:col>10</xdr:col>
      <xdr:colOff>533400</xdr:colOff>
      <xdr:row>18</xdr:row>
      <xdr:rowOff>47625</xdr:rowOff>
    </xdr:from>
    <xdr:to>
      <xdr:col>13</xdr:col>
      <xdr:colOff>200025</xdr:colOff>
      <xdr:row>29</xdr:row>
      <xdr:rowOff>38100</xdr:rowOff>
    </xdr:to>
    <xdr:pic>
      <xdr:nvPicPr>
        <xdr:cNvPr id="7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29400" y="3476625"/>
          <a:ext cx="1495425" cy="2085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13</xdr:col>
      <xdr:colOff>466725</xdr:colOff>
      <xdr:row>18</xdr:row>
      <xdr:rowOff>38100</xdr:rowOff>
    </xdr:from>
    <xdr:to>
      <xdr:col>18</xdr:col>
      <xdr:colOff>419100</xdr:colOff>
      <xdr:row>29</xdr:row>
      <xdr:rowOff>19050</xdr:rowOff>
    </xdr:to>
    <xdr:pic>
      <xdr:nvPicPr>
        <xdr:cNvPr id="8" name="Picture 8" descr="Tractor.JPG"/>
        <xdr:cNvPicPr preferRelativeResize="1">
          <a:picLocks noChangeAspect="1"/>
        </xdr:cNvPicPr>
      </xdr:nvPicPr>
      <xdr:blipFill>
        <a:blip r:embed="rId6"/>
        <a:srcRect l="7403" t="3596" r="11064" b="4684"/>
        <a:stretch>
          <a:fillRect/>
        </a:stretch>
      </xdr:blipFill>
      <xdr:spPr>
        <a:xfrm>
          <a:off x="8391525" y="3467100"/>
          <a:ext cx="3000375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18</xdr:row>
      <xdr:rowOff>57150</xdr:rowOff>
    </xdr:from>
    <xdr:to>
      <xdr:col>4</xdr:col>
      <xdr:colOff>590550</xdr:colOff>
      <xdr:row>29</xdr:row>
      <xdr:rowOff>38100</xdr:rowOff>
    </xdr:to>
    <xdr:pic>
      <xdr:nvPicPr>
        <xdr:cNvPr id="9" name="Picture 9" descr="Fertiliser bulk bag 4.JPG"/>
        <xdr:cNvPicPr preferRelativeResize="1">
          <a:picLocks noChangeAspect="1"/>
        </xdr:cNvPicPr>
      </xdr:nvPicPr>
      <xdr:blipFill>
        <a:blip r:embed="rId7"/>
        <a:srcRect r="13900"/>
        <a:stretch>
          <a:fillRect/>
        </a:stretch>
      </xdr:blipFill>
      <xdr:spPr>
        <a:xfrm>
          <a:off x="342900" y="3486150"/>
          <a:ext cx="2686050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0</xdr:row>
      <xdr:rowOff>152400</xdr:rowOff>
    </xdr:from>
    <xdr:to>
      <xdr:col>3</xdr:col>
      <xdr:colOff>257175</xdr:colOff>
      <xdr:row>5</xdr:row>
      <xdr:rowOff>123825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23850" y="152400"/>
          <a:ext cx="17621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1828800</xdr:colOff>
      <xdr:row>3</xdr:row>
      <xdr:rowOff>400050</xdr:rowOff>
    </xdr:from>
    <xdr:to>
      <xdr:col>36</xdr:col>
      <xdr:colOff>552450</xdr:colOff>
      <xdr:row>17</xdr:row>
      <xdr:rowOff>9525</xdr:rowOff>
    </xdr:to>
    <xdr:graphicFrame>
      <xdr:nvGraphicFramePr>
        <xdr:cNvPr id="1" name="Chart 5"/>
        <xdr:cNvGraphicFramePr/>
      </xdr:nvGraphicFramePr>
      <xdr:xfrm>
        <a:off x="35575875" y="1724025"/>
        <a:ext cx="463867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6384" width="9.140625" style="16" customWidth="1"/>
  </cols>
  <sheetData/>
  <sheetProtection/>
  <mergeCells count="1">
    <mergeCell ref="A1:IV65536"/>
  </mergeCell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1:AM53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4.57421875" style="1" customWidth="1"/>
    <col min="2" max="2" width="49.57421875" style="1" customWidth="1"/>
    <col min="3" max="3" width="30.8515625" style="1" customWidth="1"/>
    <col min="4" max="14" width="9.140625" style="1" customWidth="1"/>
    <col min="15" max="15" width="6.140625" style="1" customWidth="1"/>
    <col min="16" max="16" width="33.00390625" style="1" customWidth="1"/>
    <col min="17" max="17" width="26.140625" style="1" customWidth="1"/>
    <col min="18" max="21" width="9.140625" style="1" customWidth="1"/>
    <col min="22" max="22" width="22.421875" style="1" customWidth="1"/>
    <col min="23" max="26" width="9.140625" style="1" customWidth="1"/>
    <col min="27" max="27" width="31.57421875" style="1" customWidth="1"/>
    <col min="28" max="28" width="40.57421875" style="1" customWidth="1"/>
    <col min="29" max="29" width="36.8515625" style="1" customWidth="1"/>
    <col min="30" max="30" width="23.7109375" style="1" customWidth="1"/>
    <col min="31" max="31" width="27.00390625" style="1" customWidth="1"/>
    <col min="32" max="32" width="31.57421875" style="1" customWidth="1"/>
    <col min="33" max="33" width="17.28125" style="1" customWidth="1"/>
    <col min="34" max="36" width="13.28125" style="1" customWidth="1"/>
    <col min="37" max="37" width="9.140625" style="1" customWidth="1"/>
    <col min="38" max="38" width="25.8515625" style="1" customWidth="1"/>
    <col min="39" max="39" width="16.28125" style="1" customWidth="1"/>
    <col min="40" max="16384" width="9.140625" style="1" customWidth="1"/>
  </cols>
  <sheetData>
    <row r="1" spans="17:22" ht="14.25" customHeight="1">
      <c r="Q1" s="1" t="s">
        <v>36</v>
      </c>
      <c r="V1" s="1" t="s">
        <v>22</v>
      </c>
    </row>
    <row r="2" spans="2:39" ht="45" customHeight="1">
      <c r="B2" s="2" t="s">
        <v>40</v>
      </c>
      <c r="C2" s="3">
        <v>12</v>
      </c>
      <c r="Q2" s="1" t="s">
        <v>19</v>
      </c>
      <c r="R2" s="1" t="s">
        <v>11</v>
      </c>
      <c r="S2" s="1" t="s">
        <v>12</v>
      </c>
      <c r="V2" s="1" t="s">
        <v>20</v>
      </c>
      <c r="W2" s="1">
        <f>C4</f>
        <v>55</v>
      </c>
      <c r="AA2" s="1" t="s">
        <v>23</v>
      </c>
      <c r="AB2" s="1" t="s">
        <v>24</v>
      </c>
      <c r="AC2" s="1" t="s">
        <v>25</v>
      </c>
      <c r="AE2" s="1" t="s">
        <v>26</v>
      </c>
      <c r="AF2" s="1" t="s">
        <v>27</v>
      </c>
      <c r="AG2" s="1" t="s">
        <v>29</v>
      </c>
      <c r="AH2" s="1" t="s">
        <v>30</v>
      </c>
      <c r="AL2" s="1" t="s">
        <v>10</v>
      </c>
      <c r="AM2" s="4">
        <f>C3</f>
        <v>100</v>
      </c>
    </row>
    <row r="3" spans="2:39" ht="45" customHeight="1">
      <c r="B3" s="5" t="s">
        <v>44</v>
      </c>
      <c r="C3" s="6">
        <v>100</v>
      </c>
      <c r="Q3" s="1">
        <v>0</v>
      </c>
      <c r="R3" s="1">
        <v>-0.08</v>
      </c>
      <c r="S3" s="1">
        <v>21.5</v>
      </c>
      <c r="V3" s="1" t="s">
        <v>11</v>
      </c>
      <c r="W3" s="1">
        <f>VLOOKUP(W2,Q3:S53,2,TRUE)</f>
        <v>-0.044799999999999916</v>
      </c>
      <c r="Z3" s="1">
        <v>10</v>
      </c>
      <c r="AA3" s="1">
        <f>(($W$3*(Z3^2))+($W$4*Z3))</f>
        <v>50.520000000000095</v>
      </c>
      <c r="AB3" s="1">
        <f>AA3/Z3</f>
        <v>5.052000000000009</v>
      </c>
      <c r="AC3" s="1">
        <f>AB3*$AM$9*$AM$10</f>
        <v>5.052000000000009</v>
      </c>
      <c r="AD3" s="1">
        <f>Z3</f>
        <v>10</v>
      </c>
      <c r="AE3" s="1">
        <f>AC3*Z3</f>
        <v>50.520000000000095</v>
      </c>
      <c r="AF3" s="1">
        <f>$AF$16*(AD3^2)+($AF$17*AD3)+$AF$18</f>
        <v>50.5199831565038</v>
      </c>
      <c r="AG3" s="1">
        <f>(AE3-AF3)^2</f>
        <v>2.8370336751613697E-10</v>
      </c>
      <c r="AH3" s="1">
        <f>(AE3-$AE$13)^2</f>
        <v>6320.250000000117</v>
      </c>
      <c r="AL3" s="1" t="s">
        <v>0</v>
      </c>
      <c r="AM3" s="1">
        <f>C2</f>
        <v>12</v>
      </c>
    </row>
    <row r="4" spans="2:38" ht="45" customHeight="1">
      <c r="B4" s="5" t="s">
        <v>43</v>
      </c>
      <c r="C4" s="3">
        <v>55</v>
      </c>
      <c r="Q4" s="1">
        <v>1</v>
      </c>
      <c r="R4" s="1">
        <v>-0.08</v>
      </c>
      <c r="S4" s="1">
        <v>21.5</v>
      </c>
      <c r="V4" s="1" t="s">
        <v>12</v>
      </c>
      <c r="W4" s="1">
        <f>VLOOKUP(W2,Q3:S53,3,TRUE)</f>
        <v>5.500000000000009</v>
      </c>
      <c r="Z4" s="1">
        <v>20</v>
      </c>
      <c r="AA4" s="1">
        <f aca="true" t="shared" si="0" ref="AA4:AA12">(($W$3*(Z4^2))+($W$4*Z4))</f>
        <v>92.08000000000021</v>
      </c>
      <c r="AB4" s="1">
        <f aca="true" t="shared" si="1" ref="AB4:AB12">AA4/Z4</f>
        <v>4.604000000000011</v>
      </c>
      <c r="AC4" s="1">
        <f aca="true" t="shared" si="2" ref="AC4:AC12">AB4*$AM$9*$AM$10</f>
        <v>4.604000000000011</v>
      </c>
      <c r="AD4" s="1">
        <f aca="true" t="shared" si="3" ref="AD4:AD12">Z4</f>
        <v>20</v>
      </c>
      <c r="AE4" s="1">
        <f>AC4*Z4</f>
        <v>92.08000000000021</v>
      </c>
      <c r="AF4" s="1">
        <f>$AF$16*(AD4^2)+($AF$17*AD4)+$AF$18</f>
        <v>92.0799326618998</v>
      </c>
      <c r="AG4" s="1">
        <f aca="true" t="shared" si="4" ref="AG4:AG11">(AE4-AF4)^2</f>
        <v>4.53441976651884E-09</v>
      </c>
      <c r="AH4" s="1">
        <f>(AE4-$AE$13)^2</f>
        <v>1439.4436000000474</v>
      </c>
      <c r="AL4" s="1" t="s">
        <v>1</v>
      </c>
    </row>
    <row r="5" spans="2:38" ht="45" customHeight="1">
      <c r="B5" s="2" t="s">
        <v>39</v>
      </c>
      <c r="C5" s="7">
        <v>400</v>
      </c>
      <c r="Q5" s="1">
        <v>2</v>
      </c>
      <c r="R5" s="1">
        <v>-0.08</v>
      </c>
      <c r="S5" s="1">
        <v>21.5</v>
      </c>
      <c r="V5" s="1" t="s">
        <v>21</v>
      </c>
      <c r="Z5" s="1">
        <v>30</v>
      </c>
      <c r="AA5" s="1">
        <f t="shared" si="0"/>
        <v>124.68000000000033</v>
      </c>
      <c r="AB5" s="1">
        <f t="shared" si="1"/>
        <v>4.156000000000011</v>
      </c>
      <c r="AC5" s="1">
        <f t="shared" si="2"/>
        <v>4.156000000000011</v>
      </c>
      <c r="AD5" s="1">
        <f t="shared" si="3"/>
        <v>30</v>
      </c>
      <c r="AE5" s="1">
        <f aca="true" t="shared" si="5" ref="AE5:AE12">AC5*Z5</f>
        <v>124.68000000000033</v>
      </c>
      <c r="AF5" s="1">
        <f aca="true" t="shared" si="6" ref="AF5:AF12">$AF$16*(AD5^2)+($AF$17*AD5)+$AF$18</f>
        <v>124.67984851618803</v>
      </c>
      <c r="AG5" s="1">
        <f t="shared" si="4"/>
        <v>2.294734538982006E-08</v>
      </c>
      <c r="AH5" s="1">
        <f>(AE5-$AE$13)^2</f>
        <v>28.51560000000535</v>
      </c>
      <c r="AL5" s="1" t="s">
        <v>2</v>
      </c>
    </row>
    <row r="6" spans="2:38" ht="45" customHeight="1">
      <c r="B6" s="2" t="s">
        <v>38</v>
      </c>
      <c r="C6" s="8">
        <v>300</v>
      </c>
      <c r="Q6" s="1">
        <v>3</v>
      </c>
      <c r="R6" s="1">
        <v>-0.08</v>
      </c>
      <c r="S6" s="1">
        <v>21.5</v>
      </c>
      <c r="Z6" s="1">
        <v>40</v>
      </c>
      <c r="AA6" s="1">
        <f t="shared" si="0"/>
        <v>148.32000000000048</v>
      </c>
      <c r="AB6" s="1">
        <f t="shared" si="1"/>
        <v>3.7080000000000117</v>
      </c>
      <c r="AC6" s="1">
        <f t="shared" si="2"/>
        <v>3.7080000000000117</v>
      </c>
      <c r="AD6" s="1">
        <f t="shared" si="3"/>
        <v>40</v>
      </c>
      <c r="AE6" s="1">
        <f t="shared" si="5"/>
        <v>148.32000000000048</v>
      </c>
      <c r="AF6" s="1">
        <f t="shared" si="6"/>
        <v>148.31973071936844</v>
      </c>
      <c r="AG6" s="1">
        <f t="shared" si="4"/>
        <v>7.251205879169019E-08</v>
      </c>
      <c r="AH6" s="1">
        <f aca="true" t="shared" si="7" ref="AH6:AH11">(AE6-$AE$13)^2</f>
        <v>334.8899999999869</v>
      </c>
      <c r="AL6" s="1" t="s">
        <v>4</v>
      </c>
    </row>
    <row r="7" spans="2:38" ht="45" customHeight="1">
      <c r="B7" s="9" t="s">
        <v>37</v>
      </c>
      <c r="C7" s="10">
        <f>$AB$35</f>
        <v>25.7989455298365</v>
      </c>
      <c r="Q7" s="1">
        <v>4</v>
      </c>
      <c r="R7" s="1">
        <v>-0.08</v>
      </c>
      <c r="S7" s="1">
        <v>21.5</v>
      </c>
      <c r="Z7" s="1">
        <v>50</v>
      </c>
      <c r="AA7" s="1">
        <f t="shared" si="0"/>
        <v>163.00000000000068</v>
      </c>
      <c r="AB7" s="1">
        <f t="shared" si="1"/>
        <v>3.2600000000000136</v>
      </c>
      <c r="AC7" s="1">
        <f t="shared" si="2"/>
        <v>3.2600000000000136</v>
      </c>
      <c r="AD7" s="1">
        <f t="shared" si="3"/>
        <v>50</v>
      </c>
      <c r="AE7" s="1">
        <f t="shared" si="5"/>
        <v>163.00000000000068</v>
      </c>
      <c r="AF7" s="1">
        <f t="shared" si="6"/>
        <v>162.99957927144106</v>
      </c>
      <c r="AG7" s="1">
        <f t="shared" si="4"/>
        <v>1.7701252087828362E-07</v>
      </c>
      <c r="AH7" s="1">
        <f>(AE7-$AE$13)^2</f>
        <v>1087.68039999999</v>
      </c>
      <c r="AL7" s="1" t="s">
        <v>3</v>
      </c>
    </row>
    <row r="8" spans="2:38" ht="45" customHeight="1">
      <c r="B8" s="2" t="s">
        <v>41</v>
      </c>
      <c r="C8" s="11">
        <f>$AD$19</f>
        <v>4.3442028976536085</v>
      </c>
      <c r="Q8" s="1">
        <v>5</v>
      </c>
      <c r="R8" s="1">
        <v>-0.08</v>
      </c>
      <c r="S8" s="1">
        <v>21.5</v>
      </c>
      <c r="Z8" s="1">
        <v>60</v>
      </c>
      <c r="AA8" s="1">
        <f t="shared" si="0"/>
        <v>168.72000000000082</v>
      </c>
      <c r="AB8" s="1">
        <f t="shared" si="1"/>
        <v>2.8120000000000136</v>
      </c>
      <c r="AC8" s="1">
        <f t="shared" si="2"/>
        <v>2.8120000000000136</v>
      </c>
      <c r="AD8" s="1">
        <f t="shared" si="3"/>
        <v>60</v>
      </c>
      <c r="AE8" s="1">
        <f t="shared" si="5"/>
        <v>168.72000000000082</v>
      </c>
      <c r="AF8" s="1">
        <f t="shared" si="6"/>
        <v>168.7193941724059</v>
      </c>
      <c r="AG8" s="1">
        <f t="shared" si="4"/>
        <v>3.6702707475458576E-07</v>
      </c>
      <c r="AH8" s="1">
        <f t="shared" si="7"/>
        <v>1497.6899999999991</v>
      </c>
      <c r="AL8" s="1" t="s">
        <v>7</v>
      </c>
    </row>
    <row r="9" spans="2:39" ht="45" customHeight="1">
      <c r="B9" s="2" t="s">
        <v>42</v>
      </c>
      <c r="C9" s="12">
        <f>AB26</f>
        <v>0.22018348628400192</v>
      </c>
      <c r="Q9" s="1">
        <v>6</v>
      </c>
      <c r="R9" s="1">
        <v>-0.08</v>
      </c>
      <c r="S9" s="1">
        <v>21.5</v>
      </c>
      <c r="Z9" s="1">
        <v>70</v>
      </c>
      <c r="AA9" s="1">
        <f t="shared" si="0"/>
        <v>165.48000000000104</v>
      </c>
      <c r="AB9" s="1">
        <f t="shared" si="1"/>
        <v>2.364000000000015</v>
      </c>
      <c r="AC9" s="1">
        <f t="shared" si="2"/>
        <v>2.364000000000015</v>
      </c>
      <c r="AD9" s="1">
        <f t="shared" si="3"/>
        <v>70</v>
      </c>
      <c r="AE9" s="1">
        <f t="shared" si="5"/>
        <v>165.48000000000104</v>
      </c>
      <c r="AF9" s="1">
        <f t="shared" si="6"/>
        <v>165.4791754222629</v>
      </c>
      <c r="AG9" s="1">
        <f t="shared" si="4"/>
        <v>6.799284462414575E-07</v>
      </c>
      <c r="AH9" s="1">
        <f t="shared" si="7"/>
        <v>1257.4116000000147</v>
      </c>
      <c r="AL9" s="1" t="s">
        <v>8</v>
      </c>
      <c r="AM9" s="1">
        <f>IF(AM2&gt;50,1,((AM2/100)*2)^2)</f>
        <v>1</v>
      </c>
    </row>
    <row r="10" spans="17:39" ht="15">
      <c r="Q10" s="1">
        <v>7</v>
      </c>
      <c r="R10" s="1">
        <v>-0.08</v>
      </c>
      <c r="S10" s="1">
        <v>21.5</v>
      </c>
      <c r="Z10" s="1">
        <v>80</v>
      </c>
      <c r="AA10" s="1">
        <f t="shared" si="0"/>
        <v>153.28000000000122</v>
      </c>
      <c r="AB10" s="1">
        <f>AA10/Z10</f>
        <v>1.9160000000000152</v>
      </c>
      <c r="AC10" s="1">
        <f t="shared" si="2"/>
        <v>1.9160000000000152</v>
      </c>
      <c r="AD10" s="1">
        <f t="shared" si="3"/>
        <v>80</v>
      </c>
      <c r="AE10" s="1">
        <f>AC10*Z10</f>
        <v>153.28000000000122</v>
      </c>
      <c r="AF10" s="1">
        <f t="shared" si="6"/>
        <v>153.2789230210122</v>
      </c>
      <c r="AG10" s="1">
        <f t="shared" si="4"/>
        <v>1.1598837428190821E-06</v>
      </c>
      <c r="AH10" s="1">
        <f t="shared" si="7"/>
        <v>541.0276000000181</v>
      </c>
      <c r="AL10" s="1" t="s">
        <v>9</v>
      </c>
      <c r="AM10" s="1">
        <f>IF(AM3&gt;12,1,(AM3/12)^2)</f>
        <v>1</v>
      </c>
    </row>
    <row r="11" spans="17:34" ht="15">
      <c r="Q11" s="1">
        <v>8</v>
      </c>
      <c r="R11" s="1">
        <v>-0.08</v>
      </c>
      <c r="S11" s="1">
        <v>21.5</v>
      </c>
      <c r="Z11" s="1">
        <v>90</v>
      </c>
      <c r="AA11" s="1">
        <f t="shared" si="0"/>
        <v>132.12000000000148</v>
      </c>
      <c r="AB11" s="1">
        <f t="shared" si="1"/>
        <v>1.4680000000000164</v>
      </c>
      <c r="AC11" s="1">
        <f t="shared" si="2"/>
        <v>1.4680000000000164</v>
      </c>
      <c r="AD11" s="1">
        <f t="shared" si="3"/>
        <v>90</v>
      </c>
      <c r="AE11" s="1">
        <f t="shared" si="5"/>
        <v>132.12000000000148</v>
      </c>
      <c r="AF11" s="1">
        <f t="shared" si="6"/>
        <v>132.11863696865362</v>
      </c>
      <c r="AG11" s="1">
        <f t="shared" si="4"/>
        <v>1.8578544552607907E-06</v>
      </c>
      <c r="AH11" s="1">
        <f t="shared" si="7"/>
        <v>4.4100000000027215</v>
      </c>
    </row>
    <row r="12" spans="17:34" ht="15">
      <c r="Q12" s="1">
        <v>9</v>
      </c>
      <c r="R12" s="1">
        <v>-0.08</v>
      </c>
      <c r="S12" s="1">
        <v>21.5</v>
      </c>
      <c r="Z12" s="1">
        <v>100</v>
      </c>
      <c r="AA12" s="1">
        <f t="shared" si="0"/>
        <v>102.00000000000176</v>
      </c>
      <c r="AB12" s="1">
        <f t="shared" si="1"/>
        <v>1.0200000000000176</v>
      </c>
      <c r="AC12" s="1">
        <f t="shared" si="2"/>
        <v>1.0200000000000176</v>
      </c>
      <c r="AD12" s="1">
        <f t="shared" si="3"/>
        <v>100</v>
      </c>
      <c r="AE12" s="1">
        <f t="shared" si="5"/>
        <v>102.00000000000176</v>
      </c>
      <c r="AF12" s="1">
        <f t="shared" si="6"/>
        <v>101.99831726518727</v>
      </c>
      <c r="AG12" s="1">
        <f>(AE12-AF12)^2</f>
        <v>2.8315964559112483E-06</v>
      </c>
      <c r="AH12" s="1">
        <f>(AE12-$AE$13)^2</f>
        <v>785.1203999999481</v>
      </c>
    </row>
    <row r="13" spans="17:34" ht="15">
      <c r="Q13" s="1">
        <v>10</v>
      </c>
      <c r="R13" s="1">
        <v>-0.08</v>
      </c>
      <c r="S13" s="1">
        <v>21.5</v>
      </c>
      <c r="AE13" s="1">
        <f>AVERAGE(AE3:AE12)</f>
        <v>130.02000000000083</v>
      </c>
      <c r="AG13" s="1">
        <f>SUM(AG3:AG12)</f>
        <v>7.173580223180993E-06</v>
      </c>
      <c r="AH13" s="1">
        <f>SUM(AH3:AH12)</f>
        <v>13296.439200000128</v>
      </c>
    </row>
    <row r="14" spans="17:35" ht="15">
      <c r="Q14" s="1">
        <v>11</v>
      </c>
      <c r="R14" s="1">
        <f>R13+0.00088</f>
        <v>-0.07912</v>
      </c>
      <c r="S14" s="1">
        <f>S13-0.4</f>
        <v>21.1</v>
      </c>
      <c r="AH14" s="1">
        <f>1-(AG13/AH13)</f>
        <v>0.9999999994604887</v>
      </c>
      <c r="AI14" s="1" t="s">
        <v>31</v>
      </c>
    </row>
    <row r="15" spans="17:31" ht="15">
      <c r="Q15" s="1">
        <v>12</v>
      </c>
      <c r="R15" s="1">
        <f aca="true" t="shared" si="8" ref="R15:R53">R14+0.00088</f>
        <v>-0.07823999999999999</v>
      </c>
      <c r="S15" s="1">
        <f aca="true" t="shared" si="9" ref="S15:S53">S14-0.4</f>
        <v>20.700000000000003</v>
      </c>
      <c r="AE15" s="1" t="s">
        <v>32</v>
      </c>
    </row>
    <row r="16" spans="17:32" ht="21" customHeight="1">
      <c r="Q16" s="1">
        <v>13</v>
      </c>
      <c r="R16" s="1">
        <f t="shared" si="8"/>
        <v>-0.07735999999999998</v>
      </c>
      <c r="S16" s="1">
        <f t="shared" si="9"/>
        <v>20.300000000000004</v>
      </c>
      <c r="AE16" s="1" t="s">
        <v>11</v>
      </c>
      <c r="AF16" s="1">
        <v>-0.044800168255538966</v>
      </c>
    </row>
    <row r="17" spans="17:32" ht="15">
      <c r="Q17" s="1">
        <v>14</v>
      </c>
      <c r="R17" s="1">
        <f t="shared" si="8"/>
        <v>-0.07647999999999998</v>
      </c>
      <c r="S17" s="1">
        <f t="shared" si="9"/>
        <v>19.900000000000006</v>
      </c>
      <c r="AE17" s="1" t="s">
        <v>12</v>
      </c>
      <c r="AF17" s="1">
        <v>5.4999999982057695</v>
      </c>
    </row>
    <row r="18" spans="17:32" ht="15">
      <c r="Q18" s="1">
        <v>15</v>
      </c>
      <c r="R18" s="1">
        <f t="shared" si="8"/>
        <v>-0.07559999999999997</v>
      </c>
      <c r="S18" s="1">
        <f t="shared" si="9"/>
        <v>19.500000000000007</v>
      </c>
      <c r="AC18" s="1" t="s">
        <v>33</v>
      </c>
      <c r="AD18" s="1" t="s">
        <v>34</v>
      </c>
      <c r="AE18" s="1" t="s">
        <v>28</v>
      </c>
      <c r="AF18" s="1">
        <v>0</v>
      </c>
    </row>
    <row r="19" spans="17:32" ht="15">
      <c r="Q19" s="1">
        <v>16</v>
      </c>
      <c r="R19" s="1">
        <f t="shared" si="8"/>
        <v>-0.07471999999999997</v>
      </c>
      <c r="S19" s="1">
        <f t="shared" si="9"/>
        <v>19.10000000000001</v>
      </c>
      <c r="AC19" s="1">
        <f>AF16*AF19^2+AF17*AF19</f>
        <v>112.07585392712335</v>
      </c>
      <c r="AD19" s="1">
        <f>AC19/AF19</f>
        <v>4.3442028976536085</v>
      </c>
      <c r="AE19" s="1" t="s">
        <v>35</v>
      </c>
      <c r="AF19" s="1">
        <f>(AB33-AF17)/(2*AF16)</f>
        <v>25.7989455298365</v>
      </c>
    </row>
    <row r="20" spans="17:19" ht="15">
      <c r="Q20" s="1">
        <v>17</v>
      </c>
      <c r="R20" s="1">
        <f t="shared" si="8"/>
        <v>-0.07383999999999996</v>
      </c>
      <c r="S20" s="1">
        <f t="shared" si="9"/>
        <v>18.70000000000001</v>
      </c>
    </row>
    <row r="21" spans="17:19" ht="15">
      <c r="Q21" s="1">
        <v>18</v>
      </c>
      <c r="R21" s="1">
        <f t="shared" si="8"/>
        <v>-0.07295999999999996</v>
      </c>
      <c r="S21" s="1">
        <f t="shared" si="9"/>
        <v>18.30000000000001</v>
      </c>
    </row>
    <row r="22" spans="17:19" ht="15">
      <c r="Q22" s="1">
        <v>19</v>
      </c>
      <c r="R22" s="1">
        <f t="shared" si="8"/>
        <v>-0.07207999999999995</v>
      </c>
      <c r="S22" s="1">
        <f t="shared" si="9"/>
        <v>17.900000000000013</v>
      </c>
    </row>
    <row r="23" spans="17:19" ht="15">
      <c r="Q23" s="1">
        <v>20</v>
      </c>
      <c r="R23" s="1">
        <f t="shared" si="8"/>
        <v>-0.07119999999999994</v>
      </c>
      <c r="S23" s="1">
        <f t="shared" si="9"/>
        <v>17.500000000000014</v>
      </c>
    </row>
    <row r="24" spans="17:19" ht="15">
      <c r="Q24" s="1">
        <v>21</v>
      </c>
      <c r="R24" s="1">
        <f t="shared" si="8"/>
        <v>-0.07031999999999994</v>
      </c>
      <c r="S24" s="1">
        <f t="shared" si="9"/>
        <v>17.100000000000016</v>
      </c>
    </row>
    <row r="25" spans="17:28" ht="15">
      <c r="Q25" s="1">
        <v>22</v>
      </c>
      <c r="R25" s="1">
        <f t="shared" si="8"/>
        <v>-0.06943999999999993</v>
      </c>
      <c r="S25" s="1">
        <f t="shared" si="9"/>
        <v>16.700000000000017</v>
      </c>
      <c r="AA25" s="1" t="s">
        <v>5</v>
      </c>
      <c r="AB25" s="13">
        <f>C5</f>
        <v>400</v>
      </c>
    </row>
    <row r="26" spans="17:28" ht="15">
      <c r="Q26" s="1">
        <v>23</v>
      </c>
      <c r="R26" s="1">
        <f t="shared" si="8"/>
        <v>-0.06855999999999993</v>
      </c>
      <c r="S26" s="1">
        <f t="shared" si="9"/>
        <v>16.30000000000002</v>
      </c>
      <c r="AA26" s="1" t="s">
        <v>6</v>
      </c>
      <c r="AB26" s="13">
        <f>AB31/AD19</f>
        <v>0.22018348628400192</v>
      </c>
    </row>
    <row r="27" spans="17:28" ht="15">
      <c r="Q27" s="1">
        <v>24</v>
      </c>
      <c r="R27" s="1">
        <f t="shared" si="8"/>
        <v>-0.06767999999999992</v>
      </c>
      <c r="S27" s="1">
        <f t="shared" si="9"/>
        <v>15.900000000000018</v>
      </c>
      <c r="AA27" s="1" t="s">
        <v>15</v>
      </c>
      <c r="AB27" s="14">
        <f>C6</f>
        <v>300</v>
      </c>
    </row>
    <row r="28" spans="17:28" ht="15">
      <c r="Q28" s="1">
        <v>25</v>
      </c>
      <c r="R28" s="1">
        <f t="shared" si="8"/>
        <v>-0.06679999999999992</v>
      </c>
      <c r="S28" s="1">
        <f t="shared" si="9"/>
        <v>15.500000000000018</v>
      </c>
      <c r="AA28" s="1" t="s">
        <v>18</v>
      </c>
      <c r="AB28" s="15">
        <f>AB27/1000</f>
        <v>0.3</v>
      </c>
    </row>
    <row r="29" spans="17:19" ht="15">
      <c r="Q29" s="1">
        <v>26</v>
      </c>
      <c r="R29" s="1">
        <f t="shared" si="8"/>
        <v>-0.06591999999999991</v>
      </c>
      <c r="S29" s="1">
        <f t="shared" si="9"/>
        <v>15.100000000000017</v>
      </c>
    </row>
    <row r="30" spans="17:19" ht="15">
      <c r="Q30" s="1">
        <v>27</v>
      </c>
      <c r="R30" s="1">
        <f t="shared" si="8"/>
        <v>-0.0650399999999999</v>
      </c>
      <c r="S30" s="1">
        <f t="shared" si="9"/>
        <v>14.700000000000017</v>
      </c>
    </row>
    <row r="31" spans="17:28" ht="15">
      <c r="Q31" s="1">
        <v>28</v>
      </c>
      <c r="R31" s="1">
        <f t="shared" si="8"/>
        <v>-0.0641599999999999</v>
      </c>
      <c r="S31" s="1">
        <f t="shared" si="9"/>
        <v>14.300000000000017</v>
      </c>
      <c r="AA31" s="1" t="s">
        <v>13</v>
      </c>
      <c r="AB31" s="13">
        <f>AB25/0.46/1000*1.1</f>
        <v>0.9565217391304347</v>
      </c>
    </row>
    <row r="32" spans="17:28" ht="15">
      <c r="Q32" s="1">
        <v>29</v>
      </c>
      <c r="R32" s="1">
        <f t="shared" si="8"/>
        <v>-0.06327999999999989</v>
      </c>
      <c r="S32" s="1">
        <f t="shared" si="9"/>
        <v>13.900000000000016</v>
      </c>
      <c r="AA32" s="1" t="s">
        <v>14</v>
      </c>
      <c r="AB32" s="13">
        <f>AB27/1000</f>
        <v>0.3</v>
      </c>
    </row>
    <row r="33" spans="17:28" ht="15">
      <c r="Q33" s="1">
        <v>30</v>
      </c>
      <c r="R33" s="1">
        <f t="shared" si="8"/>
        <v>-0.06239999999999989</v>
      </c>
      <c r="S33" s="1">
        <f t="shared" si="9"/>
        <v>13.500000000000016</v>
      </c>
      <c r="AA33" s="1" t="s">
        <v>16</v>
      </c>
      <c r="AB33" s="1">
        <f>AB31/AB32</f>
        <v>3.1884057971014492</v>
      </c>
    </row>
    <row r="34" spans="17:19" ht="15">
      <c r="Q34" s="1">
        <v>31</v>
      </c>
      <c r="R34" s="1">
        <f t="shared" si="8"/>
        <v>-0.061519999999999894</v>
      </c>
      <c r="S34" s="1">
        <f t="shared" si="9"/>
        <v>13.100000000000016</v>
      </c>
    </row>
    <row r="35" spans="17:28" ht="15">
      <c r="Q35" s="1">
        <v>32</v>
      </c>
      <c r="R35" s="1">
        <f t="shared" si="8"/>
        <v>-0.060639999999999895</v>
      </c>
      <c r="S35" s="1">
        <f t="shared" si="9"/>
        <v>12.700000000000015</v>
      </c>
      <c r="AA35" s="1" t="s">
        <v>17</v>
      </c>
      <c r="AB35" s="1">
        <f>IF(AB28&gt;AB26,IF((AB33-AF17)/(2*AF16)&gt;0,(AB33-AF17)/(2*AF16),0),0)</f>
        <v>25.7989455298365</v>
      </c>
    </row>
    <row r="36" spans="17:19" ht="15">
      <c r="Q36" s="1">
        <v>33</v>
      </c>
      <c r="R36" s="1">
        <f t="shared" si="8"/>
        <v>-0.0597599999999999</v>
      </c>
      <c r="S36" s="1">
        <f t="shared" si="9"/>
        <v>12.300000000000015</v>
      </c>
    </row>
    <row r="37" spans="17:19" ht="15">
      <c r="Q37" s="1">
        <v>34</v>
      </c>
      <c r="R37" s="1">
        <f t="shared" si="8"/>
        <v>-0.0588799999999999</v>
      </c>
      <c r="S37" s="1">
        <f t="shared" si="9"/>
        <v>11.900000000000015</v>
      </c>
    </row>
    <row r="38" spans="17:19" ht="15">
      <c r="Q38" s="1">
        <v>35</v>
      </c>
      <c r="R38" s="1">
        <f t="shared" si="8"/>
        <v>-0.0579999999999999</v>
      </c>
      <c r="S38" s="1">
        <f t="shared" si="9"/>
        <v>11.500000000000014</v>
      </c>
    </row>
    <row r="39" spans="17:19" ht="15">
      <c r="Q39" s="1">
        <v>36</v>
      </c>
      <c r="R39" s="1">
        <f t="shared" si="8"/>
        <v>-0.0571199999999999</v>
      </c>
      <c r="S39" s="1">
        <f t="shared" si="9"/>
        <v>11.100000000000014</v>
      </c>
    </row>
    <row r="40" spans="17:19" ht="15">
      <c r="Q40" s="1">
        <v>37</v>
      </c>
      <c r="R40" s="1">
        <f t="shared" si="8"/>
        <v>-0.0562399999999999</v>
      </c>
      <c r="S40" s="1">
        <f t="shared" si="9"/>
        <v>10.700000000000014</v>
      </c>
    </row>
    <row r="41" spans="17:19" ht="15">
      <c r="Q41" s="1">
        <v>38</v>
      </c>
      <c r="R41" s="1">
        <f t="shared" si="8"/>
        <v>-0.0553599999999999</v>
      </c>
      <c r="S41" s="1">
        <f t="shared" si="9"/>
        <v>10.300000000000013</v>
      </c>
    </row>
    <row r="42" spans="17:19" ht="15">
      <c r="Q42" s="1">
        <v>39</v>
      </c>
      <c r="R42" s="1">
        <f t="shared" si="8"/>
        <v>-0.054479999999999904</v>
      </c>
      <c r="S42" s="1">
        <f t="shared" si="9"/>
        <v>9.900000000000013</v>
      </c>
    </row>
    <row r="43" spans="17:19" ht="15">
      <c r="Q43" s="1">
        <v>40</v>
      </c>
      <c r="R43" s="1">
        <f t="shared" si="8"/>
        <v>-0.053599999999999905</v>
      </c>
      <c r="S43" s="1">
        <f t="shared" si="9"/>
        <v>9.500000000000012</v>
      </c>
    </row>
    <row r="44" spans="17:19" ht="15">
      <c r="Q44" s="1">
        <v>41</v>
      </c>
      <c r="R44" s="1">
        <f t="shared" si="8"/>
        <v>-0.052719999999999906</v>
      </c>
      <c r="S44" s="1">
        <f t="shared" si="9"/>
        <v>9.100000000000012</v>
      </c>
    </row>
    <row r="45" spans="17:19" ht="15">
      <c r="Q45" s="1">
        <v>42</v>
      </c>
      <c r="R45" s="1">
        <f t="shared" si="8"/>
        <v>-0.05183999999999991</v>
      </c>
      <c r="S45" s="1">
        <f t="shared" si="9"/>
        <v>8.700000000000012</v>
      </c>
    </row>
    <row r="46" spans="17:19" ht="15">
      <c r="Q46" s="1">
        <v>43</v>
      </c>
      <c r="R46" s="1">
        <f t="shared" si="8"/>
        <v>-0.05095999999999991</v>
      </c>
      <c r="S46" s="1">
        <f t="shared" si="9"/>
        <v>8.300000000000011</v>
      </c>
    </row>
    <row r="47" spans="17:19" ht="15">
      <c r="Q47" s="1">
        <v>44</v>
      </c>
      <c r="R47" s="1">
        <f t="shared" si="8"/>
        <v>-0.05007999999999991</v>
      </c>
      <c r="S47" s="1">
        <f t="shared" si="9"/>
        <v>7.900000000000011</v>
      </c>
    </row>
    <row r="48" spans="17:19" ht="15">
      <c r="Q48" s="1">
        <v>45</v>
      </c>
      <c r="R48" s="1">
        <f t="shared" si="8"/>
        <v>-0.04919999999999991</v>
      </c>
      <c r="S48" s="1">
        <f t="shared" si="9"/>
        <v>7.500000000000011</v>
      </c>
    </row>
    <row r="49" spans="17:19" ht="15">
      <c r="Q49" s="1">
        <v>46</v>
      </c>
      <c r="R49" s="1">
        <f t="shared" si="8"/>
        <v>-0.04831999999999991</v>
      </c>
      <c r="S49" s="1">
        <f t="shared" si="9"/>
        <v>7.10000000000001</v>
      </c>
    </row>
    <row r="50" spans="17:19" ht="15">
      <c r="Q50" s="1">
        <v>47</v>
      </c>
      <c r="R50" s="1">
        <f t="shared" si="8"/>
        <v>-0.04743999999999991</v>
      </c>
      <c r="S50" s="1">
        <f t="shared" si="9"/>
        <v>6.70000000000001</v>
      </c>
    </row>
    <row r="51" spans="17:19" ht="15">
      <c r="Q51" s="1">
        <v>48</v>
      </c>
      <c r="R51" s="1">
        <f t="shared" si="8"/>
        <v>-0.046559999999999914</v>
      </c>
      <c r="S51" s="1">
        <f t="shared" si="9"/>
        <v>6.30000000000001</v>
      </c>
    </row>
    <row r="52" spans="17:19" ht="15">
      <c r="Q52" s="1">
        <v>49</v>
      </c>
      <c r="R52" s="1">
        <f t="shared" si="8"/>
        <v>-0.045679999999999915</v>
      </c>
      <c r="S52" s="1">
        <f t="shared" si="9"/>
        <v>5.900000000000009</v>
      </c>
    </row>
    <row r="53" spans="17:19" ht="15">
      <c r="Q53" s="1">
        <v>50</v>
      </c>
      <c r="R53" s="1">
        <f t="shared" si="8"/>
        <v>-0.044799999999999916</v>
      </c>
      <c r="S53" s="1">
        <f t="shared" si="9"/>
        <v>5.500000000000009</v>
      </c>
    </row>
  </sheetData>
  <sheetProtection/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ITS-UTAS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rrawnsle</dc:creator>
  <cp:keywords/>
  <dc:description/>
  <cp:lastModifiedBy>Alison Hall</cp:lastModifiedBy>
  <dcterms:created xsi:type="dcterms:W3CDTF">2009-09-18T01:59:07Z</dcterms:created>
  <dcterms:modified xsi:type="dcterms:W3CDTF">2013-02-01T01:21:17Z</dcterms:modified>
  <cp:category/>
  <cp:version/>
  <cp:contentType/>
  <cp:contentStatus/>
</cp:coreProperties>
</file>